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 Jameso\Desktop\2026 BUDGET PREPARATION\"/>
    </mc:Choice>
  </mc:AlternateContent>
  <xr:revisionPtr revIDLastSave="0" documentId="13_ncr:1_{73DCAA68-C3E3-4F80-9BE2-C978AE5EC6A4}" xr6:coauthVersionLast="47" xr6:coauthVersionMax="47" xr10:uidLastSave="{00000000-0000-0000-0000-000000000000}"/>
  <bookViews>
    <workbookView xWindow="-110" yWindow="-110" windowWidth="19420" windowHeight="10300" xr2:uid="{B9649488-CE24-4F65-82DF-CC388E75FFC4}"/>
  </bookViews>
  <sheets>
    <sheet name="MTEF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1" i="1"/>
  <c r="D51" i="1"/>
  <c r="H60" i="1"/>
  <c r="C57" i="1"/>
  <c r="G3" i="1"/>
  <c r="E5" i="1"/>
  <c r="D4" i="1" l="1"/>
  <c r="E4" i="1" s="1"/>
  <c r="D6" i="1"/>
  <c r="E6" i="1" s="1"/>
  <c r="E43" i="1" l="1"/>
  <c r="E51" i="1"/>
  <c r="F51" i="1" s="1"/>
  <c r="H5" i="1"/>
  <c r="F4" i="1"/>
  <c r="F5" i="1"/>
  <c r="F6" i="1"/>
  <c r="D48" i="1"/>
  <c r="E48" i="1" s="1"/>
  <c r="E49" i="1"/>
  <c r="F49" i="1" s="1"/>
  <c r="E56" i="1"/>
  <c r="F56" i="1" s="1"/>
  <c r="E8" i="1"/>
  <c r="F8" i="1" s="1"/>
  <c r="E7" i="1"/>
  <c r="F7" i="1" s="1"/>
  <c r="E29" i="1"/>
  <c r="F29" i="1" s="1"/>
  <c r="G36" i="1"/>
  <c r="G37" i="1"/>
  <c r="G38" i="1"/>
  <c r="F39" i="1"/>
  <c r="E39" i="1"/>
  <c r="D39" i="1"/>
  <c r="E27" i="1" l="1"/>
  <c r="G39" i="1"/>
  <c r="F48" i="1"/>
  <c r="G4" i="2"/>
  <c r="G3" i="2"/>
  <c r="D44" i="1"/>
  <c r="C21" i="1" l="1"/>
  <c r="D52" i="1"/>
  <c r="E52" i="1" s="1"/>
  <c r="F52" i="1" s="1"/>
  <c r="G23" i="1" l="1"/>
  <c r="G24" i="1"/>
  <c r="D27" i="1"/>
  <c r="B17" i="1"/>
  <c r="H38" i="2"/>
  <c r="D38" i="2"/>
  <c r="F38" i="2"/>
  <c r="C38" i="2"/>
  <c r="C44" i="1"/>
  <c r="E44" i="1"/>
  <c r="E45" i="1" s="1"/>
  <c r="F44" i="1"/>
  <c r="B44" i="1"/>
  <c r="D37" i="2"/>
  <c r="E37" i="2"/>
  <c r="G37" i="2"/>
  <c r="C37" i="2"/>
  <c r="G19" i="2" l="1"/>
  <c r="G17" i="2"/>
  <c r="G10" i="2"/>
  <c r="G5" i="2"/>
  <c r="D26" i="2"/>
  <c r="G26" i="1"/>
  <c r="G21" i="1"/>
  <c r="G22" i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3" i="2"/>
  <c r="G20" i="1"/>
  <c r="E25" i="2"/>
  <c r="E38" i="2" s="1"/>
  <c r="C25" i="2"/>
  <c r="G25" i="2" l="1"/>
  <c r="D25" i="2"/>
  <c r="G38" i="2" l="1"/>
  <c r="C27" i="1" l="1"/>
  <c r="C60" i="1" l="1"/>
  <c r="G55" i="1"/>
  <c r="G54" i="1"/>
  <c r="G53" i="1"/>
  <c r="G52" i="1"/>
  <c r="B57" i="1"/>
  <c r="B60" i="1" s="1"/>
  <c r="D50" i="1"/>
  <c r="G49" i="1"/>
  <c r="G48" i="1"/>
  <c r="G43" i="1"/>
  <c r="G35" i="1"/>
  <c r="G34" i="1"/>
  <c r="G33" i="1"/>
  <c r="G42" i="1"/>
  <c r="G32" i="1"/>
  <c r="G29" i="1"/>
  <c r="B27" i="1"/>
  <c r="B45" i="1" s="1"/>
  <c r="G19" i="1"/>
  <c r="G17" i="1"/>
  <c r="G10" i="1"/>
  <c r="F27" i="1"/>
  <c r="G7" i="1"/>
  <c r="G6" i="1"/>
  <c r="G5" i="1"/>
  <c r="G4" i="1"/>
  <c r="E50" i="1" l="1"/>
  <c r="F50" i="1" s="1"/>
  <c r="F57" i="1" s="1"/>
  <c r="G44" i="1"/>
  <c r="G56" i="1"/>
  <c r="C45" i="1"/>
  <c r="F45" i="1"/>
  <c r="E73" i="1" s="1"/>
  <c r="G8" i="1"/>
  <c r="E57" i="1" l="1"/>
  <c r="G50" i="1"/>
  <c r="E70" i="1"/>
  <c r="F59" i="1" s="1"/>
  <c r="D45" i="1"/>
  <c r="B66" i="1" s="1"/>
  <c r="B63" i="1" s="1"/>
  <c r="B64" i="1" l="1"/>
  <c r="E71" i="1"/>
  <c r="F58" i="1" s="1"/>
  <c r="D59" i="1"/>
  <c r="D58" i="1" l="1"/>
  <c r="D57" i="1"/>
  <c r="G51" i="1"/>
  <c r="G57" i="1" l="1"/>
  <c r="D60" i="1"/>
  <c r="D65" i="1" l="1"/>
  <c r="B73" i="1"/>
  <c r="G45" i="1" l="1"/>
  <c r="G27" i="1"/>
  <c r="B70" i="1" l="1"/>
  <c r="E59" i="1" s="1"/>
  <c r="G59" i="1" s="1"/>
  <c r="B71" i="1" l="1"/>
  <c r="E58" i="1" s="1"/>
  <c r="F60" i="1"/>
  <c r="F65" i="1" s="1"/>
  <c r="G58" i="1" l="1"/>
  <c r="E60" i="1" l="1"/>
  <c r="G60" i="1" s="1"/>
  <c r="E65" i="1" l="1"/>
</calcChain>
</file>

<file path=xl/sharedStrings.xml><?xml version="1.0" encoding="utf-8"?>
<sst xmlns="http://schemas.openxmlformats.org/spreadsheetml/2006/main" count="128" uniqueCount="88">
  <si>
    <t>DESCRIPTION</t>
  </si>
  <si>
    <t>2026 (F) (NBN)</t>
  </si>
  <si>
    <t>2027 (F) (NBN)</t>
  </si>
  <si>
    <t>Opening Balance (A)</t>
  </si>
  <si>
    <t>Statutory Allocation</t>
  </si>
  <si>
    <t>VAT</t>
  </si>
  <si>
    <t>13% Derivation</t>
  </si>
  <si>
    <t>Refund on Excess Crude</t>
  </si>
  <si>
    <t>Exchange Gain</t>
  </si>
  <si>
    <t>Forex Equalization</t>
  </si>
  <si>
    <t>Electronic money transfer</t>
  </si>
  <si>
    <t>Solid Mineral</t>
  </si>
  <si>
    <t>Tax Refund (FIRS Refund)</t>
  </si>
  <si>
    <t>Non Oil Revenue</t>
  </si>
  <si>
    <t>Signature Bonus</t>
  </si>
  <si>
    <t>Cash call refund</t>
  </si>
  <si>
    <t>Goods for Valuable Consideration</t>
  </si>
  <si>
    <t>Total Fed. Allocation (B)</t>
  </si>
  <si>
    <t>Year On Year Growth</t>
  </si>
  <si>
    <t>IGR</t>
  </si>
  <si>
    <t>Grants</t>
  </si>
  <si>
    <t>NG-CARES</t>
  </si>
  <si>
    <t>SDG</t>
  </si>
  <si>
    <t>Donor: Rural Access Agricultural Marketing Project (RAAMP)</t>
  </si>
  <si>
    <t>HOPEGOV</t>
  </si>
  <si>
    <t>Internal Loan</t>
  </si>
  <si>
    <t>NFWP</t>
  </si>
  <si>
    <t>TOTAL OTHER REVENUE (C)</t>
  </si>
  <si>
    <t>TOTAL REVENUE (A+B+C)</t>
  </si>
  <si>
    <t>EXPENDITURE ESTIMATES</t>
  </si>
  <si>
    <t>Personnel Cost</t>
  </si>
  <si>
    <t>Pensions and Gratuity</t>
  </si>
  <si>
    <t>Contributory Pension Scheme</t>
  </si>
  <si>
    <t>Overhead Cost</t>
  </si>
  <si>
    <t>Grants, Contributions and Subsidies</t>
  </si>
  <si>
    <t>10% Contribution to SUBEB</t>
  </si>
  <si>
    <t>RDAs</t>
  </si>
  <si>
    <t>CRFC: TRANSFERS: OTHER PERSONNEL COST (18,000.00 MINIMUM WAGE, ARREARS, CORPERS ALLOWANCE ETC)</t>
  </si>
  <si>
    <t>TOTAL RECURRENT EXPENDITURE (D)</t>
  </si>
  <si>
    <t>CAPITAL EXPENDITURE (E)</t>
  </si>
  <si>
    <t>PLANNING RESERVE CAPITAL (F)</t>
  </si>
  <si>
    <t>TOTAL EXPENDITURE (D+E+F)</t>
  </si>
  <si>
    <t>2025 BUDGET</t>
  </si>
  <si>
    <t>2025 ACTUAL (NBN) JAN-JUNE</t>
  </si>
  <si>
    <t>2028 (F) (NBN)</t>
  </si>
  <si>
    <t>2026-2028 TOTAL (NBN)</t>
  </si>
  <si>
    <t>Augmentation</t>
  </si>
  <si>
    <t>NLNG Dividiends (1999-2023)</t>
  </si>
  <si>
    <t>NLNG Dividiends (1999-2023)-Derivation</t>
  </si>
  <si>
    <t>Infrastructure</t>
  </si>
  <si>
    <t>Project Gazelle</t>
  </si>
  <si>
    <t>Condensates</t>
  </si>
  <si>
    <t>PPT Royalty -13%</t>
  </si>
  <si>
    <t>Flood Prevention Fund</t>
  </si>
  <si>
    <t>S/N</t>
  </si>
  <si>
    <t>ITEM</t>
  </si>
  <si>
    <t>A</t>
  </si>
  <si>
    <t xml:space="preserve">INFLOW   </t>
  </si>
  <si>
    <t>Derivation</t>
  </si>
  <si>
    <t>Electronic MoneyTransfer levy</t>
  </si>
  <si>
    <t>Solid Minerals</t>
  </si>
  <si>
    <t>Refund of Excess Crude</t>
  </si>
  <si>
    <t>Signature Bonus- Derivation</t>
  </si>
  <si>
    <t xml:space="preserve">Refund of 13% Derivation - NNPC </t>
  </si>
  <si>
    <t>Joint Venture/Cash Calls</t>
  </si>
  <si>
    <t>TOTAL</t>
  </si>
  <si>
    <t>FULL YEAR ASSUMPTION</t>
  </si>
  <si>
    <t>2025 APPROVED BUDGET</t>
  </si>
  <si>
    <t>% INCREASE OR DECREASE</t>
  </si>
  <si>
    <t>40% PROJECTON FOR 2026</t>
  </si>
  <si>
    <t>NOTE</t>
  </si>
  <si>
    <t xml:space="preserve">since no increase, the previous budget was maintained </t>
  </si>
  <si>
    <t>no budget line current year actual was maintained</t>
  </si>
  <si>
    <t xml:space="preserve">External Grant </t>
  </si>
  <si>
    <t>SUBEB</t>
  </si>
  <si>
    <t xml:space="preserve">Internal Grant </t>
  </si>
  <si>
    <t>GAVI</t>
  </si>
  <si>
    <t>UNICEF</t>
  </si>
  <si>
    <t>CONTIGENCY</t>
  </si>
  <si>
    <t>CAPITAL</t>
  </si>
  <si>
    <t>Other FGN</t>
  </si>
  <si>
    <t>60 PERCENT CAPITAL</t>
  </si>
  <si>
    <t>SABER</t>
  </si>
  <si>
    <t>13% Derivation Refund</t>
  </si>
  <si>
    <t>Signature Bonus Derivation</t>
  </si>
  <si>
    <t>NLNG - General</t>
  </si>
  <si>
    <t xml:space="preserve">2026 PROPOSED BUDGET ANALYSIS </t>
  </si>
  <si>
    <t>Public Debt Servicing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</si>
</sst>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Tahoma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43" fontId="4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wrapText="1"/>
    </xf>
    <xf numFmtId="43" fontId="5" fillId="0" borderId="1" xfId="1" applyFont="1" applyBorder="1" applyAlignment="1"/>
    <xf numFmtId="43" fontId="5" fillId="0" borderId="1" xfId="1" applyFont="1" applyBorder="1" applyAlignment="1">
      <alignment horizontal="left"/>
    </xf>
    <xf numFmtId="43" fontId="0" fillId="0" borderId="1" xfId="1" applyFont="1" applyBorder="1" applyAlignment="1"/>
    <xf numFmtId="43" fontId="5" fillId="0" borderId="1" xfId="1" applyFont="1" applyFill="1" applyBorder="1" applyAlignment="1"/>
    <xf numFmtId="43" fontId="4" fillId="0" borderId="1" xfId="1" applyFont="1" applyFill="1" applyBorder="1" applyAlignment="1"/>
    <xf numFmtId="43" fontId="5" fillId="0" borderId="1" xfId="1" applyFont="1" applyFill="1" applyBorder="1" applyAlignment="1">
      <alignment wrapText="1"/>
    </xf>
    <xf numFmtId="43" fontId="0" fillId="0" borderId="0" xfId="0" applyNumberFormat="1"/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43" fontId="0" fillId="0" borderId="0" xfId="1" applyFont="1"/>
    <xf numFmtId="0" fontId="15" fillId="0" borderId="0" xfId="0" applyFont="1"/>
    <xf numFmtId="0" fontId="11" fillId="0" borderId="1" xfId="0" applyFont="1" applyBorder="1" applyAlignment="1">
      <alignment horizontal="center"/>
    </xf>
    <xf numFmtId="43" fontId="3" fillId="0" borderId="1" xfId="1" applyFont="1" applyBorder="1"/>
    <xf numFmtId="0" fontId="1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43" fontId="14" fillId="0" borderId="1" xfId="1" applyFont="1" applyBorder="1"/>
    <xf numFmtId="0" fontId="15" fillId="0" borderId="1" xfId="0" applyFont="1" applyBorder="1"/>
    <xf numFmtId="0" fontId="13" fillId="0" borderId="1" xfId="0" applyFont="1" applyBorder="1" applyAlignment="1">
      <alignment horizontal="center"/>
    </xf>
    <xf numFmtId="43" fontId="15" fillId="0" borderId="1" xfId="1" applyFont="1" applyBorder="1"/>
    <xf numFmtId="43" fontId="0" fillId="0" borderId="1" xfId="1" applyFont="1" applyBorder="1"/>
    <xf numFmtId="0" fontId="0" fillId="0" borderId="1" xfId="0" applyBorder="1" applyAlignment="1">
      <alignment wrapText="1"/>
    </xf>
    <xf numFmtId="43" fontId="5" fillId="0" borderId="1" xfId="1" applyFont="1" applyFill="1" applyBorder="1" applyAlignment="1">
      <alignment horizontal="left"/>
    </xf>
    <xf numFmtId="43" fontId="15" fillId="2" borderId="1" xfId="1" applyFont="1" applyFill="1" applyBorder="1"/>
    <xf numFmtId="43" fontId="0" fillId="2" borderId="1" xfId="1" applyFont="1" applyFill="1" applyBorder="1"/>
    <xf numFmtId="0" fontId="17" fillId="0" borderId="0" xfId="0" applyFont="1" applyAlignment="1">
      <alignment wrapText="1"/>
    </xf>
    <xf numFmtId="43" fontId="14" fillId="0" borderId="0" xfId="1" applyFont="1" applyBorder="1"/>
    <xf numFmtId="43" fontId="0" fillId="2" borderId="1" xfId="0" applyNumberFormat="1" applyFill="1" applyBorder="1"/>
    <xf numFmtId="4" fontId="10" fillId="0" borderId="1" xfId="0" applyNumberFormat="1" applyFont="1" applyBorder="1" applyAlignment="1">
      <alignment vertical="center"/>
    </xf>
    <xf numFmtId="0" fontId="18" fillId="0" borderId="1" xfId="0" applyFont="1" applyBorder="1"/>
    <xf numFmtId="43" fontId="19" fillId="0" borderId="1" xfId="1" applyFont="1" applyBorder="1" applyAlignment="1">
      <alignment horizontal="left" wrapText="1"/>
    </xf>
    <xf numFmtId="43" fontId="18" fillId="0" borderId="1" xfId="1" applyFont="1" applyBorder="1" applyAlignment="1">
      <alignment wrapText="1"/>
    </xf>
    <xf numFmtId="43" fontId="19" fillId="0" borderId="1" xfId="1" applyFont="1" applyBorder="1" applyAlignment="1">
      <alignment wrapText="1"/>
    </xf>
    <xf numFmtId="43" fontId="18" fillId="0" borderId="1" xfId="1" applyFont="1" applyBorder="1" applyAlignment="1"/>
    <xf numFmtId="43" fontId="14" fillId="2" borderId="1" xfId="1" applyFont="1" applyFill="1" applyBorder="1"/>
    <xf numFmtId="43" fontId="5" fillId="0" borderId="6" xfId="1" applyFont="1" applyFill="1" applyBorder="1" applyAlignment="1"/>
    <xf numFmtId="43" fontId="0" fillId="0" borderId="1" xfId="1" applyFont="1" applyFill="1" applyBorder="1" applyAlignment="1"/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6" fillId="0" borderId="1" xfId="0" applyFont="1" applyBorder="1"/>
    <xf numFmtId="43" fontId="4" fillId="0" borderId="1" xfId="1" applyFont="1" applyFill="1" applyBorder="1" applyAlignment="1">
      <alignment horizontal="left" wrapText="1"/>
    </xf>
    <xf numFmtId="43" fontId="2" fillId="0" borderId="1" xfId="1" applyFont="1" applyFill="1" applyBorder="1" applyAlignment="1"/>
    <xf numFmtId="43" fontId="4" fillId="0" borderId="1" xfId="1" applyFont="1" applyFill="1" applyBorder="1" applyAlignment="1">
      <alignment wrapText="1"/>
    </xf>
    <xf numFmtId="43" fontId="4" fillId="0" borderId="1" xfId="1" applyFont="1" applyFill="1" applyBorder="1" applyAlignment="1">
      <alignment horizontal="center" wrapText="1"/>
    </xf>
    <xf numFmtId="43" fontId="1" fillId="0" borderId="1" xfId="1" applyFont="1" applyFill="1" applyBorder="1" applyAlignment="1"/>
    <xf numFmtId="41" fontId="20" fillId="0" borderId="0" xfId="1" applyNumberFormat="1" applyFont="1"/>
    <xf numFmtId="43" fontId="4" fillId="3" borderId="1" xfId="1" applyFont="1" applyFill="1" applyBorder="1" applyAlignment="1">
      <alignment horizontal="center" vertical="center" wrapText="1"/>
    </xf>
    <xf numFmtId="43" fontId="5" fillId="3" borderId="1" xfId="1" applyFont="1" applyFill="1" applyBorder="1" applyAlignment="1"/>
    <xf numFmtId="4" fontId="9" fillId="3" borderId="1" xfId="0" applyNumberFormat="1" applyFont="1" applyFill="1" applyBorder="1" applyAlignment="1">
      <alignment horizontal="right" vertical="center"/>
    </xf>
    <xf numFmtId="41" fontId="0" fillId="3" borderId="1" xfId="1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/>
    <xf numFmtId="4" fontId="10" fillId="3" borderId="5" xfId="0" applyNumberFormat="1" applyFont="1" applyFill="1" applyBorder="1" applyAlignment="1">
      <alignment vertical="center"/>
    </xf>
    <xf numFmtId="43" fontId="4" fillId="3" borderId="1" xfId="1" applyFont="1" applyFill="1" applyBorder="1" applyAlignment="1">
      <alignment horizontal="center" wrapText="1"/>
    </xf>
    <xf numFmtId="4" fontId="7" fillId="3" borderId="1" xfId="0" applyNumberFormat="1" applyFont="1" applyFill="1" applyBorder="1"/>
    <xf numFmtId="0" fontId="0" fillId="3" borderId="0" xfId="0" applyFill="1"/>
    <xf numFmtId="43" fontId="0" fillId="3" borderId="0" xfId="0" applyNumberFormat="1" applyFill="1"/>
    <xf numFmtId="43" fontId="2" fillId="3" borderId="0" xfId="1" applyFont="1" applyFill="1"/>
    <xf numFmtId="41" fontId="20" fillId="3" borderId="0" xfId="0" applyNumberFormat="1" applyFont="1" applyFill="1"/>
    <xf numFmtId="0" fontId="0" fillId="3" borderId="0" xfId="1" applyNumberFormat="1" applyFont="1" applyFill="1"/>
    <xf numFmtId="43" fontId="3" fillId="0" borderId="1" xfId="1" applyFont="1" applyBorder="1" applyAlignment="1">
      <alignment horizontal="center" wrapText="1"/>
    </xf>
    <xf numFmtId="43" fontId="4" fillId="0" borderId="2" xfId="1" applyFont="1" applyFill="1" applyBorder="1" applyAlignment="1">
      <alignment horizontal="center" wrapText="1"/>
    </xf>
    <xf numFmtId="43" fontId="4" fillId="0" borderId="3" xfId="1" applyFont="1" applyFill="1" applyBorder="1" applyAlignment="1">
      <alignment horizontal="center" wrapText="1"/>
    </xf>
    <xf numFmtId="43" fontId="4" fillId="0" borderId="4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16"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70AD47"/>
        </patternFill>
      </fill>
      <border>
        <left style="thin">
          <color auto="1"/>
        </left>
        <vertical/>
        <horizontal/>
      </border>
    </dxf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u/>
        <color auto="1"/>
      </font>
      <fill>
        <patternFill>
          <bgColor rgb="FF80808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BFBFB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70AD47"/>
        </patternFill>
      </fill>
      <border>
        <left style="thin">
          <color auto="1"/>
        </left>
        <vertical/>
        <horizontal/>
      </border>
    </dxf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u/>
        <color auto="1"/>
      </font>
      <fill>
        <patternFill>
          <bgColor rgb="FF80808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BFBFB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80230-0335-4738-AF78-C46A718FB6EE}">
  <sheetPr>
    <pageSetUpPr fitToPage="1"/>
  </sheetPr>
  <dimension ref="A1:H74"/>
  <sheetViews>
    <sheetView tabSelected="1" topLeftCell="A56" zoomScale="94" zoomScaleNormal="94" workbookViewId="0">
      <selection sqref="A1:G60"/>
    </sheetView>
  </sheetViews>
  <sheetFormatPr defaultRowHeight="14.5" x14ac:dyDescent="0.35"/>
  <cols>
    <col min="1" max="1" width="15.7265625" customWidth="1"/>
    <col min="2" max="2" width="24.36328125" style="60" hidden="1" customWidth="1"/>
    <col min="3" max="3" width="18.36328125" hidden="1" customWidth="1"/>
    <col min="4" max="4" width="22.6328125" customWidth="1"/>
    <col min="5" max="5" width="22.453125" customWidth="1"/>
    <col min="6" max="6" width="21.08984375" customWidth="1"/>
    <col min="7" max="7" width="20.36328125" customWidth="1"/>
    <col min="8" max="8" width="20.6328125" customWidth="1"/>
  </cols>
  <sheetData>
    <row r="1" spans="1:8" ht="18.5" x14ac:dyDescent="0.45">
      <c r="A1" s="65" t="s">
        <v>86</v>
      </c>
      <c r="B1" s="65"/>
      <c r="C1" s="65"/>
      <c r="D1" s="65"/>
      <c r="E1" s="65"/>
      <c r="F1" s="65"/>
      <c r="G1" s="65"/>
    </row>
    <row r="2" spans="1:8" ht="29" x14ac:dyDescent="0.35">
      <c r="A2" s="1" t="s">
        <v>0</v>
      </c>
      <c r="B2" s="52" t="s">
        <v>42</v>
      </c>
      <c r="C2" s="1" t="s">
        <v>43</v>
      </c>
      <c r="D2" s="1" t="s">
        <v>1</v>
      </c>
      <c r="E2" s="1" t="s">
        <v>2</v>
      </c>
      <c r="F2" s="1" t="s">
        <v>44</v>
      </c>
      <c r="G2" s="2" t="s">
        <v>45</v>
      </c>
    </row>
    <row r="3" spans="1:8" ht="28.5" x14ac:dyDescent="0.35">
      <c r="A3" s="3" t="s">
        <v>3</v>
      </c>
      <c r="B3" s="53">
        <v>14200000000</v>
      </c>
      <c r="C3" s="4">
        <v>209.33</v>
      </c>
      <c r="D3" s="5">
        <v>10500000000</v>
      </c>
      <c r="E3" s="28">
        <v>100000000000</v>
      </c>
      <c r="F3" s="28">
        <v>95000000000</v>
      </c>
      <c r="G3" s="6">
        <f>SUM(D3:F3)</f>
        <v>205500000000</v>
      </c>
    </row>
    <row r="4" spans="1:8" ht="28.5" x14ac:dyDescent="0.35">
      <c r="A4" s="9" t="s">
        <v>4</v>
      </c>
      <c r="B4" s="53">
        <v>17000000000</v>
      </c>
      <c r="C4" s="7">
        <v>25.14</v>
      </c>
      <c r="D4" s="28">
        <f>50296008542.34-8000000000</f>
        <v>42296008542.339996</v>
      </c>
      <c r="E4" s="28">
        <f>D4*0.7+D4</f>
        <v>71903214521.977997</v>
      </c>
      <c r="F4" s="28">
        <f>E4*0.05+E4</f>
        <v>75498375248.076904</v>
      </c>
      <c r="G4" s="42">
        <f t="shared" ref="G4:G8" si="0">SUM(D4:F4)</f>
        <v>189697598312.3949</v>
      </c>
    </row>
    <row r="5" spans="1:8" x14ac:dyDescent="0.35">
      <c r="A5" s="9" t="s">
        <v>5</v>
      </c>
      <c r="B5" s="54">
        <v>57000000000</v>
      </c>
      <c r="C5" s="7">
        <v>42.19</v>
      </c>
      <c r="D5" s="28">
        <v>84000000000</v>
      </c>
      <c r="E5" s="28">
        <f>D5*0.7+D5</f>
        <v>142800000000</v>
      </c>
      <c r="F5" s="28">
        <f>E5*0.05+E5</f>
        <v>149940000000</v>
      </c>
      <c r="G5" s="42">
        <f t="shared" si="0"/>
        <v>376740000000</v>
      </c>
      <c r="H5" s="10">
        <f>C6*2</f>
        <v>292.64</v>
      </c>
    </row>
    <row r="6" spans="1:8" ht="18.5" customHeight="1" x14ac:dyDescent="0.35">
      <c r="A6" s="9" t="s">
        <v>6</v>
      </c>
      <c r="B6" s="54">
        <v>138804511503.72</v>
      </c>
      <c r="C6" s="7">
        <v>146.32</v>
      </c>
      <c r="D6" s="28">
        <f>292638040843.22-80000000000</f>
        <v>212638040843.21997</v>
      </c>
      <c r="E6" s="28">
        <f>D6*0.8+D6</f>
        <v>382748473517.79596</v>
      </c>
      <c r="F6" s="28">
        <f>E6*0.05+E6</f>
        <v>401885897193.68573</v>
      </c>
      <c r="G6" s="42">
        <f t="shared" si="0"/>
        <v>997272411554.70166</v>
      </c>
    </row>
    <row r="7" spans="1:8" ht="28.5" x14ac:dyDescent="0.35">
      <c r="A7" s="9" t="s">
        <v>7</v>
      </c>
      <c r="B7" s="54">
        <v>39062795619.25</v>
      </c>
      <c r="C7" s="7">
        <v>19.53</v>
      </c>
      <c r="D7" s="28">
        <v>39062795619.25</v>
      </c>
      <c r="E7" s="28">
        <f>D7*0.2+D7</f>
        <v>46875354743.099998</v>
      </c>
      <c r="F7" s="28">
        <f>E7*0.05+E7</f>
        <v>49219122480.254997</v>
      </c>
      <c r="G7" s="42">
        <f t="shared" si="0"/>
        <v>135157272842.60501</v>
      </c>
    </row>
    <row r="8" spans="1:8" x14ac:dyDescent="0.35">
      <c r="A8" s="9" t="s">
        <v>8</v>
      </c>
      <c r="B8" s="54">
        <v>103073041793.33</v>
      </c>
      <c r="C8" s="7">
        <v>16.88</v>
      </c>
      <c r="D8" s="28">
        <v>18000000000</v>
      </c>
      <c r="E8" s="28">
        <f>D8*0.2+D8</f>
        <v>21600000000</v>
      </c>
      <c r="F8" s="28">
        <f>E8*0.04+E8</f>
        <v>22464000000</v>
      </c>
      <c r="G8" s="42">
        <f t="shared" si="0"/>
        <v>62064000000</v>
      </c>
    </row>
    <row r="9" spans="1:8" ht="28.5" x14ac:dyDescent="0.35">
      <c r="A9" s="9" t="s">
        <v>9</v>
      </c>
      <c r="B9" s="55"/>
      <c r="C9" s="7">
        <v>0.441</v>
      </c>
      <c r="D9" s="28"/>
      <c r="E9" s="28"/>
      <c r="F9" s="28"/>
      <c r="G9" s="42"/>
    </row>
    <row r="10" spans="1:8" ht="28.5" x14ac:dyDescent="0.35">
      <c r="A10" s="9" t="s">
        <v>10</v>
      </c>
      <c r="B10" s="54">
        <v>1900000000</v>
      </c>
      <c r="C10" s="7">
        <v>1.65</v>
      </c>
      <c r="D10" s="28">
        <v>3500000000</v>
      </c>
      <c r="E10" s="28">
        <v>2660000000</v>
      </c>
      <c r="F10" s="28">
        <v>2660000000</v>
      </c>
      <c r="G10" s="42">
        <f>SUM(D10:F10)</f>
        <v>8820000000</v>
      </c>
    </row>
    <row r="11" spans="1:8" x14ac:dyDescent="0.35">
      <c r="A11" s="9" t="s">
        <v>11</v>
      </c>
      <c r="B11" s="53"/>
      <c r="C11" s="7">
        <v>0.159</v>
      </c>
      <c r="D11" s="28"/>
      <c r="E11" s="28"/>
      <c r="F11" s="28"/>
      <c r="G11" s="42"/>
    </row>
    <row r="12" spans="1:8" ht="28.5" x14ac:dyDescent="0.35">
      <c r="A12" s="9" t="s">
        <v>83</v>
      </c>
      <c r="B12" s="53">
        <v>14000000000</v>
      </c>
      <c r="C12" s="7"/>
      <c r="D12" s="28"/>
      <c r="E12" s="28"/>
      <c r="F12" s="28"/>
      <c r="G12" s="42"/>
    </row>
    <row r="13" spans="1:8" x14ac:dyDescent="0.35">
      <c r="A13" s="9" t="s">
        <v>14</v>
      </c>
      <c r="B13" s="53">
        <v>13000000000</v>
      </c>
      <c r="C13" s="7"/>
      <c r="D13" s="28"/>
      <c r="E13" s="28"/>
      <c r="F13" s="28"/>
      <c r="G13" s="42"/>
    </row>
    <row r="14" spans="1:8" ht="28.5" x14ac:dyDescent="0.35">
      <c r="A14" s="9" t="s">
        <v>84</v>
      </c>
      <c r="B14" s="53">
        <v>53000000000</v>
      </c>
      <c r="C14" s="7"/>
      <c r="D14" s="28"/>
      <c r="E14" s="28"/>
      <c r="F14" s="28"/>
      <c r="G14" s="42"/>
    </row>
    <row r="15" spans="1:8" ht="28.5" x14ac:dyDescent="0.35">
      <c r="A15" s="9" t="s">
        <v>12</v>
      </c>
      <c r="B15" s="53"/>
      <c r="C15" s="7"/>
      <c r="D15" s="28"/>
      <c r="E15" s="28"/>
      <c r="F15" s="28"/>
      <c r="G15" s="42"/>
    </row>
    <row r="16" spans="1:8" x14ac:dyDescent="0.35">
      <c r="A16" s="9" t="s">
        <v>13</v>
      </c>
      <c r="B16" s="53"/>
      <c r="C16" s="7"/>
      <c r="D16" s="28"/>
      <c r="E16" s="28"/>
      <c r="F16" s="28"/>
      <c r="G16" s="42"/>
    </row>
    <row r="17" spans="1:7" x14ac:dyDescent="0.35">
      <c r="A17" s="9" t="s">
        <v>15</v>
      </c>
      <c r="B17" s="53">
        <f>106800000000-6800000000</f>
        <v>100000000000</v>
      </c>
      <c r="C17" s="7">
        <v>31.64</v>
      </c>
      <c r="D17" s="7">
        <v>90000000000</v>
      </c>
      <c r="E17" s="7">
        <v>79000000000</v>
      </c>
      <c r="F17" s="7"/>
      <c r="G17" s="42">
        <f t="shared" ref="G17:G27" si="1">SUM(D17:F17)</f>
        <v>169000000000</v>
      </c>
    </row>
    <row r="18" spans="1:7" ht="28.5" x14ac:dyDescent="0.35">
      <c r="A18" s="9" t="s">
        <v>53</v>
      </c>
      <c r="B18" s="53"/>
      <c r="C18" s="7"/>
      <c r="D18" s="7"/>
      <c r="E18" s="7"/>
      <c r="F18" s="7"/>
      <c r="G18" s="42"/>
    </row>
    <row r="19" spans="1:7" ht="42.5" x14ac:dyDescent="0.35">
      <c r="A19" s="43" t="s">
        <v>16</v>
      </c>
      <c r="B19" s="53">
        <v>10000000000</v>
      </c>
      <c r="C19" s="7"/>
      <c r="D19" s="7"/>
      <c r="E19" s="7"/>
      <c r="F19" s="7"/>
      <c r="G19" s="42">
        <f t="shared" si="1"/>
        <v>0</v>
      </c>
    </row>
    <row r="20" spans="1:7" ht="15.5" x14ac:dyDescent="0.35">
      <c r="A20" s="44" t="s">
        <v>46</v>
      </c>
      <c r="B20" s="53"/>
      <c r="C20" s="7">
        <v>8.09</v>
      </c>
      <c r="D20" s="7">
        <v>10000000000</v>
      </c>
      <c r="E20" s="7"/>
      <c r="F20" s="7"/>
      <c r="G20" s="42">
        <f t="shared" si="1"/>
        <v>10000000000</v>
      </c>
    </row>
    <row r="21" spans="1:7" ht="42.5" x14ac:dyDescent="0.35">
      <c r="A21" s="43" t="s">
        <v>48</v>
      </c>
      <c r="B21" s="53"/>
      <c r="C21" s="7">
        <f>31.22+15.58</f>
        <v>46.8</v>
      </c>
      <c r="D21" s="7">
        <f>132000000000-32000000000</f>
        <v>100000000000</v>
      </c>
      <c r="E21" s="7">
        <v>132000000000</v>
      </c>
      <c r="F21" s="7">
        <v>132000000000</v>
      </c>
      <c r="G21" s="42">
        <f t="shared" si="1"/>
        <v>364000000000</v>
      </c>
    </row>
    <row r="22" spans="1:7" x14ac:dyDescent="0.35">
      <c r="A22" s="45" t="s">
        <v>49</v>
      </c>
      <c r="B22" s="53"/>
      <c r="C22" s="7">
        <v>24.76</v>
      </c>
      <c r="D22" s="7">
        <v>49513513513.540009</v>
      </c>
      <c r="E22" s="7">
        <v>49513513513.540009</v>
      </c>
      <c r="F22" s="7">
        <v>49513513513.540009</v>
      </c>
      <c r="G22" s="42">
        <f t="shared" si="1"/>
        <v>148540540540.62003</v>
      </c>
    </row>
    <row r="23" spans="1:7" x14ac:dyDescent="0.35">
      <c r="A23" s="43" t="s">
        <v>50</v>
      </c>
      <c r="B23" s="53"/>
      <c r="C23" s="7"/>
      <c r="D23" s="41"/>
      <c r="E23" s="41"/>
      <c r="F23" s="41"/>
      <c r="G23" s="42">
        <f t="shared" si="1"/>
        <v>0</v>
      </c>
    </row>
    <row r="24" spans="1:7" x14ac:dyDescent="0.35">
      <c r="A24" s="43" t="s">
        <v>51</v>
      </c>
      <c r="B24" s="53"/>
      <c r="C24" s="7"/>
      <c r="D24" s="7">
        <v>100000000000</v>
      </c>
      <c r="E24" s="7">
        <v>54000000000</v>
      </c>
      <c r="F24" s="7"/>
      <c r="G24" s="42">
        <f t="shared" si="1"/>
        <v>154000000000</v>
      </c>
    </row>
    <row r="25" spans="1:7" x14ac:dyDescent="0.35">
      <c r="A25" s="43" t="s">
        <v>85</v>
      </c>
      <c r="B25" s="53"/>
      <c r="C25" s="7"/>
      <c r="D25" s="7">
        <v>78000000000</v>
      </c>
      <c r="E25" s="7"/>
      <c r="F25" s="7"/>
      <c r="G25" s="42"/>
    </row>
    <row r="26" spans="1:7" ht="28.5" x14ac:dyDescent="0.35">
      <c r="A26" s="43" t="s">
        <v>52</v>
      </c>
      <c r="B26" s="53"/>
      <c r="C26" s="7">
        <v>72.650000000000006</v>
      </c>
      <c r="D26" s="7"/>
      <c r="E26" s="7"/>
      <c r="F26" s="7"/>
      <c r="G26" s="42">
        <f t="shared" si="1"/>
        <v>0</v>
      </c>
    </row>
    <row r="27" spans="1:7" ht="28.5" x14ac:dyDescent="0.35">
      <c r="A27" s="46" t="s">
        <v>17</v>
      </c>
      <c r="B27" s="56">
        <f>SUM(B3:B19)</f>
        <v>561040348916.30005</v>
      </c>
      <c r="C27" s="8">
        <f>SUM(C3:C26)</f>
        <v>645.57999999999981</v>
      </c>
      <c r="D27" s="8">
        <f>SUM(D3:D26)</f>
        <v>837510358518.34998</v>
      </c>
      <c r="E27" s="8">
        <f>SUM(E3:E19)</f>
        <v>847587042782.8739</v>
      </c>
      <c r="F27" s="8">
        <f>SUM(F3:F19)</f>
        <v>796667394922.0177</v>
      </c>
      <c r="G27" s="47">
        <f t="shared" si="1"/>
        <v>2481764796223.2417</v>
      </c>
    </row>
    <row r="28" spans="1:7" ht="28.5" x14ac:dyDescent="0.35">
      <c r="A28" s="9" t="s">
        <v>18</v>
      </c>
      <c r="B28" s="53"/>
      <c r="C28" s="7"/>
      <c r="D28" s="7"/>
      <c r="E28" s="7"/>
      <c r="F28" s="7"/>
      <c r="G28" s="42"/>
    </row>
    <row r="29" spans="1:7" ht="15" thickBot="1" x14ac:dyDescent="0.4">
      <c r="A29" s="9" t="s">
        <v>19</v>
      </c>
      <c r="B29" s="57">
        <v>39000000000</v>
      </c>
      <c r="C29" s="7">
        <v>31.01</v>
      </c>
      <c r="D29" s="7">
        <f>50000000000+3942566496+32000000000</f>
        <v>85942566496</v>
      </c>
      <c r="E29" s="28">
        <f>D29*0.2+D29</f>
        <v>103131079795.2</v>
      </c>
      <c r="F29" s="28">
        <f>E29*0.4+E29</f>
        <v>144383511713.28</v>
      </c>
      <c r="G29" s="42">
        <f>SUM(D29:F29)</f>
        <v>333457158004.47998</v>
      </c>
    </row>
    <row r="30" spans="1:7" x14ac:dyDescent="0.35">
      <c r="A30" s="48" t="s">
        <v>20</v>
      </c>
      <c r="B30" s="53"/>
      <c r="C30" s="7"/>
      <c r="D30" s="7"/>
      <c r="E30" s="7"/>
      <c r="F30" s="7"/>
      <c r="G30" s="42"/>
    </row>
    <row r="31" spans="1:7" ht="21.5" customHeight="1" x14ac:dyDescent="0.35">
      <c r="A31" s="48" t="s">
        <v>73</v>
      </c>
      <c r="B31" s="53"/>
      <c r="C31" s="7"/>
      <c r="D31" s="7"/>
      <c r="E31" s="7"/>
      <c r="F31" s="7"/>
      <c r="G31" s="42"/>
    </row>
    <row r="32" spans="1:7" x14ac:dyDescent="0.35">
      <c r="A32" s="9" t="s">
        <v>21</v>
      </c>
      <c r="B32" s="53">
        <v>23000000000</v>
      </c>
      <c r="C32" s="7"/>
      <c r="D32" s="7">
        <v>5000000000</v>
      </c>
      <c r="E32" s="7">
        <v>20000000000</v>
      </c>
      <c r="F32" s="7">
        <v>20000000000</v>
      </c>
      <c r="G32" s="42">
        <f t="shared" ref="G32:G39" si="2">SUM(D32:F32)</f>
        <v>45000000000</v>
      </c>
    </row>
    <row r="33" spans="1:8" x14ac:dyDescent="0.35">
      <c r="A33" s="9" t="s">
        <v>22</v>
      </c>
      <c r="B33" s="53">
        <v>2000000000</v>
      </c>
      <c r="C33" s="7"/>
      <c r="D33" s="7">
        <v>2000000000</v>
      </c>
      <c r="E33" s="7">
        <v>2000000000</v>
      </c>
      <c r="F33" s="7">
        <v>2000000000</v>
      </c>
      <c r="G33" s="42">
        <f t="shared" si="2"/>
        <v>6000000000</v>
      </c>
    </row>
    <row r="34" spans="1:8" ht="70.5" x14ac:dyDescent="0.35">
      <c r="A34" s="9" t="s">
        <v>23</v>
      </c>
      <c r="B34" s="53">
        <v>4000000000</v>
      </c>
      <c r="C34" s="7"/>
      <c r="D34" s="7">
        <v>4000000000</v>
      </c>
      <c r="E34" s="7">
        <v>4000000000</v>
      </c>
      <c r="F34" s="7">
        <v>4000000000</v>
      </c>
      <c r="G34" s="42">
        <f t="shared" si="2"/>
        <v>12000000000</v>
      </c>
    </row>
    <row r="35" spans="1:8" x14ac:dyDescent="0.35">
      <c r="A35" s="9" t="s">
        <v>24</v>
      </c>
      <c r="B35" s="53">
        <v>2000000000</v>
      </c>
      <c r="C35" s="7"/>
      <c r="D35" s="7">
        <v>2000000000</v>
      </c>
      <c r="E35" s="7">
        <v>2000000000</v>
      </c>
      <c r="F35" s="7">
        <v>2000000000</v>
      </c>
      <c r="G35" s="42">
        <f t="shared" si="2"/>
        <v>6000000000</v>
      </c>
    </row>
    <row r="36" spans="1:8" x14ac:dyDescent="0.35">
      <c r="A36" s="7" t="s">
        <v>26</v>
      </c>
      <c r="B36" s="53">
        <v>4800000000</v>
      </c>
      <c r="C36" s="7"/>
      <c r="D36" s="7">
        <v>4800000000</v>
      </c>
      <c r="E36" s="7">
        <v>4800000000</v>
      </c>
      <c r="F36" s="7">
        <v>4800000000</v>
      </c>
      <c r="G36" s="42">
        <f t="shared" si="2"/>
        <v>14400000000</v>
      </c>
    </row>
    <row r="37" spans="1:8" x14ac:dyDescent="0.35">
      <c r="A37" s="7" t="s">
        <v>76</v>
      </c>
      <c r="B37" s="53"/>
      <c r="C37" s="7"/>
      <c r="D37" s="7">
        <v>25608953</v>
      </c>
      <c r="E37" s="7">
        <v>15365372</v>
      </c>
      <c r="F37" s="7">
        <v>10243581</v>
      </c>
      <c r="G37" s="42">
        <f t="shared" si="2"/>
        <v>51217906</v>
      </c>
    </row>
    <row r="38" spans="1:8" x14ac:dyDescent="0.35">
      <c r="A38" s="7" t="s">
        <v>77</v>
      </c>
      <c r="B38" s="53"/>
      <c r="C38" s="7"/>
      <c r="D38" s="7">
        <v>200098529</v>
      </c>
      <c r="E38" s="7">
        <v>184090647</v>
      </c>
      <c r="F38" s="7">
        <v>176086705</v>
      </c>
      <c r="G38" s="42">
        <f t="shared" si="2"/>
        <v>560275881</v>
      </c>
    </row>
    <row r="39" spans="1:8" x14ac:dyDescent="0.35">
      <c r="A39" s="7" t="s">
        <v>80</v>
      </c>
      <c r="B39" s="53"/>
      <c r="C39" s="7"/>
      <c r="D39" s="7">
        <f>124387331+61090597.4+38120312.5+40019705.79+29063500</f>
        <v>292681446.69</v>
      </c>
      <c r="E39" s="7">
        <f>114436345+56203349.6+35070687.5+24011823.5+17438100</f>
        <v>247160305.59999999</v>
      </c>
      <c r="F39" s="7">
        <f>109460852+53759725.7+33545875+16007882+11625400</f>
        <v>224399734.69999999</v>
      </c>
      <c r="G39" s="42">
        <f t="shared" si="2"/>
        <v>764241486.99000001</v>
      </c>
    </row>
    <row r="40" spans="1:8" x14ac:dyDescent="0.35">
      <c r="A40" s="7" t="s">
        <v>82</v>
      </c>
      <c r="B40" s="53"/>
      <c r="C40" s="7"/>
      <c r="D40" s="7">
        <v>3000000000</v>
      </c>
      <c r="E40" s="7">
        <v>3000000000</v>
      </c>
      <c r="F40" s="7">
        <v>3000000000</v>
      </c>
      <c r="G40" s="42"/>
    </row>
    <row r="41" spans="1:8" x14ac:dyDescent="0.35">
      <c r="A41" s="48" t="s">
        <v>75</v>
      </c>
      <c r="B41" s="53"/>
      <c r="C41" s="7"/>
      <c r="D41" s="7"/>
      <c r="E41" s="7"/>
      <c r="F41" s="7"/>
      <c r="G41" s="42"/>
    </row>
    <row r="42" spans="1:8" x14ac:dyDescent="0.35">
      <c r="A42" s="9" t="s">
        <v>74</v>
      </c>
      <c r="B42" s="53">
        <v>3600000000</v>
      </c>
      <c r="C42" s="7"/>
      <c r="D42" s="7">
        <v>3600000000</v>
      </c>
      <c r="E42" s="7">
        <v>3600000000</v>
      </c>
      <c r="F42" s="7">
        <v>3600000000</v>
      </c>
      <c r="G42" s="42">
        <f>SUM(D42:F42)</f>
        <v>10800000000</v>
      </c>
    </row>
    <row r="43" spans="1:8" x14ac:dyDescent="0.35">
      <c r="A43" s="9" t="s">
        <v>25</v>
      </c>
      <c r="B43" s="53">
        <v>50000000000</v>
      </c>
      <c r="C43" s="7"/>
      <c r="D43" s="7">
        <v>50000000000</v>
      </c>
      <c r="E43" s="28">
        <f>D43*0+D43</f>
        <v>50000000000</v>
      </c>
      <c r="F43" s="28">
        <v>85000000000</v>
      </c>
      <c r="G43" s="42">
        <f>SUM(D43:F43)</f>
        <v>185000000000</v>
      </c>
    </row>
    <row r="44" spans="1:8" ht="42.5" x14ac:dyDescent="0.35">
      <c r="A44" s="48" t="s">
        <v>27</v>
      </c>
      <c r="B44" s="56">
        <f>SUM(B29:B43)</f>
        <v>128400000000</v>
      </c>
      <c r="C44" s="8">
        <f t="shared" ref="C44:G44" si="3">SUM(C29:C43)</f>
        <v>31.01</v>
      </c>
      <c r="D44" s="8">
        <f>SUM(D29:D43)</f>
        <v>160860955424.69</v>
      </c>
      <c r="E44" s="8">
        <f t="shared" si="3"/>
        <v>192977696119.79999</v>
      </c>
      <c r="F44" s="8">
        <f t="shared" si="3"/>
        <v>269194241733.98001</v>
      </c>
      <c r="G44" s="8">
        <f t="shared" si="3"/>
        <v>614032893278.46997</v>
      </c>
    </row>
    <row r="45" spans="1:8" ht="42.5" x14ac:dyDescent="0.35">
      <c r="A45" s="48" t="s">
        <v>28</v>
      </c>
      <c r="B45" s="56">
        <f>SUM(B27,B44)</f>
        <v>689440348916.30005</v>
      </c>
      <c r="C45" s="8">
        <f>SUM(C27,C44)</f>
        <v>676.5899999999998</v>
      </c>
      <c r="D45" s="8">
        <f>SUM(D27,D44)</f>
        <v>998371313943.04004</v>
      </c>
      <c r="E45" s="8">
        <f>SUM(E27,E44)</f>
        <v>1040564738902.6738</v>
      </c>
      <c r="F45" s="8">
        <f>SUM(F27,F44)</f>
        <v>1065861636655.9977</v>
      </c>
      <c r="G45" s="47">
        <f>SUM(D45:F45)</f>
        <v>3104797689501.7114</v>
      </c>
      <c r="H45" s="10"/>
    </row>
    <row r="46" spans="1:8" ht="19.5" customHeight="1" x14ac:dyDescent="0.35">
      <c r="A46" s="66" t="s">
        <v>29</v>
      </c>
      <c r="B46" s="67"/>
      <c r="C46" s="67"/>
      <c r="D46" s="67"/>
      <c r="E46" s="67"/>
      <c r="F46" s="67"/>
      <c r="G46" s="68"/>
    </row>
    <row r="47" spans="1:8" ht="28.5" x14ac:dyDescent="0.35">
      <c r="A47" s="49" t="s">
        <v>0</v>
      </c>
      <c r="B47" s="58" t="s">
        <v>42</v>
      </c>
      <c r="C47" s="49" t="s">
        <v>43</v>
      </c>
      <c r="D47" s="49" t="s">
        <v>1</v>
      </c>
      <c r="E47" s="49" t="s">
        <v>2</v>
      </c>
      <c r="F47" s="49" t="s">
        <v>44</v>
      </c>
      <c r="G47" s="49" t="s">
        <v>45</v>
      </c>
      <c r="H47" s="10"/>
    </row>
    <row r="48" spans="1:8" ht="22" customHeight="1" x14ac:dyDescent="0.35">
      <c r="A48" s="9" t="s">
        <v>30</v>
      </c>
      <c r="B48" s="59">
        <v>91961743951.039993</v>
      </c>
      <c r="C48" s="7">
        <v>44.99</v>
      </c>
      <c r="D48" s="7">
        <f>101961743951.04-10000000000+30000000000-20000000000+501541288.51-2000000000+1379898273.6+4375000000</f>
        <v>106218183513.14999</v>
      </c>
      <c r="E48" s="28">
        <f>D48*0.0001+D48+3941434191.26+1537500000+10000000000-105000000-4392285113.5</f>
        <v>117210454409.26131</v>
      </c>
      <c r="F48" s="28">
        <f>E48*0.01+E48+1140000000</f>
        <v>119522558953.35391</v>
      </c>
      <c r="G48" s="50">
        <f t="shared" ref="G48:G59" si="4">SUM(D48:F48)</f>
        <v>342951196875.76526</v>
      </c>
    </row>
    <row r="49" spans="1:8" ht="28.5" x14ac:dyDescent="0.35">
      <c r="A49" s="9" t="s">
        <v>31</v>
      </c>
      <c r="B49" s="53">
        <v>13029815318</v>
      </c>
      <c r="C49" s="7">
        <v>4.1470000000000002</v>
      </c>
      <c r="D49" s="7">
        <v>18000000000</v>
      </c>
      <c r="E49" s="28">
        <f>D49*0.02+D49</f>
        <v>18360000000</v>
      </c>
      <c r="F49" s="28">
        <f>E49*0.01+E49</f>
        <v>18543600000</v>
      </c>
      <c r="G49" s="50">
        <f t="shared" si="4"/>
        <v>54903600000</v>
      </c>
    </row>
    <row r="50" spans="1:8" ht="28.5" x14ac:dyDescent="0.35">
      <c r="A50" s="9" t="s">
        <v>32</v>
      </c>
      <c r="B50" s="53">
        <v>6294261592.6560001</v>
      </c>
      <c r="C50" s="7">
        <v>0.64600000000000002</v>
      </c>
      <c r="D50" s="7">
        <f>11294261592.656-5000000000</f>
        <v>6294261592.6560001</v>
      </c>
      <c r="E50" s="28">
        <f>D50*0.02+D50</f>
        <v>6420146824.50912</v>
      </c>
      <c r="F50" s="28">
        <f>E50*0.01+E50</f>
        <v>6484348292.7542114</v>
      </c>
      <c r="G50" s="50">
        <f t="shared" si="4"/>
        <v>19198756709.919331</v>
      </c>
    </row>
    <row r="51" spans="1:8" ht="17.5" customHeight="1" x14ac:dyDescent="0.35">
      <c r="A51" s="9" t="s">
        <v>33</v>
      </c>
      <c r="B51" s="53">
        <v>79650869203.669998</v>
      </c>
      <c r="C51" s="7">
        <v>28.324999999999999</v>
      </c>
      <c r="D51" s="7">
        <f>160000000000-2851819134.18-30000000000-25140307384.53-12000000000-2681390438.36+5250000000+35350000000-7000000000+3684341781.83</f>
        <v>124610824824.76001</v>
      </c>
      <c r="E51" s="28">
        <f>D51*0.02+D51+275000000+9616379679.21-15463258148.09+5000000000</f>
        <v>126531162852.37521</v>
      </c>
      <c r="F51" s="28">
        <f>E51*0.00001+E51+11843943261.17+111563741.6-12936917788.99+10500000000-4207620004.54</f>
        <v>131843397373.24374</v>
      </c>
      <c r="G51" s="50">
        <f t="shared" si="4"/>
        <v>382985385050.37897</v>
      </c>
    </row>
    <row r="52" spans="1:8" ht="42.5" x14ac:dyDescent="0.35">
      <c r="A52" s="9" t="s">
        <v>34</v>
      </c>
      <c r="B52" s="53">
        <v>9147130796.3299999</v>
      </c>
      <c r="C52" s="7"/>
      <c r="D52" s="7">
        <f>18294261592.656/2</f>
        <v>9147130796.3279991</v>
      </c>
      <c r="E52" s="28">
        <f>D52*0.02+D52</f>
        <v>9330073412.2545586</v>
      </c>
      <c r="F52" s="28">
        <f>E52*0.01+E52</f>
        <v>9423374146.3771038</v>
      </c>
      <c r="G52" s="50">
        <f t="shared" si="4"/>
        <v>27900578354.959663</v>
      </c>
    </row>
    <row r="53" spans="1:8" ht="28.5" x14ac:dyDescent="0.35">
      <c r="A53" s="9" t="s">
        <v>35</v>
      </c>
      <c r="B53" s="53">
        <v>2500000000</v>
      </c>
      <c r="C53" s="7"/>
      <c r="D53" s="7">
        <v>2500000000</v>
      </c>
      <c r="E53" s="7">
        <v>2500000000</v>
      </c>
      <c r="F53" s="7">
        <v>2500000000</v>
      </c>
      <c r="G53" s="50">
        <f t="shared" si="4"/>
        <v>7500000000</v>
      </c>
    </row>
    <row r="54" spans="1:8" ht="23" customHeight="1" x14ac:dyDescent="0.35">
      <c r="A54" s="9" t="s">
        <v>36</v>
      </c>
      <c r="B54" s="53">
        <v>4500000000</v>
      </c>
      <c r="C54" s="7"/>
      <c r="D54" s="7">
        <v>4500000000</v>
      </c>
      <c r="E54" s="7">
        <v>4500000000</v>
      </c>
      <c r="F54" s="7">
        <v>4500000000</v>
      </c>
      <c r="G54" s="50">
        <f t="shared" si="4"/>
        <v>13500000000</v>
      </c>
    </row>
    <row r="55" spans="1:8" ht="149" customHeight="1" x14ac:dyDescent="0.35">
      <c r="A55" s="9" t="s">
        <v>37</v>
      </c>
      <c r="B55" s="53">
        <v>3346460935</v>
      </c>
      <c r="C55" s="7">
        <v>1.262</v>
      </c>
      <c r="D55" s="7">
        <v>3346460935</v>
      </c>
      <c r="E55" s="7">
        <v>3346460935</v>
      </c>
      <c r="F55" s="7">
        <v>3346460935</v>
      </c>
      <c r="G55" s="50">
        <f t="shared" si="4"/>
        <v>10039382805</v>
      </c>
    </row>
    <row r="56" spans="1:8" ht="28.5" x14ac:dyDescent="0.35">
      <c r="A56" s="9" t="s">
        <v>87</v>
      </c>
      <c r="B56" s="53">
        <v>52944847915.940002</v>
      </c>
      <c r="C56" s="7">
        <v>11.545999999999999</v>
      </c>
      <c r="D56" s="7">
        <v>78497440000</v>
      </c>
      <c r="E56" s="28">
        <f>D56*0.02+D56</f>
        <v>80067388800</v>
      </c>
      <c r="F56" s="28">
        <f>E56*0.01+E56</f>
        <v>80868062688</v>
      </c>
      <c r="G56" s="50">
        <f t="shared" si="4"/>
        <v>239432891488</v>
      </c>
    </row>
    <row r="57" spans="1:8" ht="66" customHeight="1" x14ac:dyDescent="0.35">
      <c r="A57" s="48" t="s">
        <v>38</v>
      </c>
      <c r="B57" s="56">
        <f t="shared" ref="B57:F57" si="5">SUM(B48:B56)</f>
        <v>263375129712.63599</v>
      </c>
      <c r="C57" s="56">
        <f t="shared" si="5"/>
        <v>90.915999999999997</v>
      </c>
      <c r="D57" s="8">
        <f t="shared" si="5"/>
        <v>353114301661.89404</v>
      </c>
      <c r="E57" s="8">
        <f t="shared" si="5"/>
        <v>368265687233.40021</v>
      </c>
      <c r="F57" s="8">
        <f t="shared" si="5"/>
        <v>377031802388.72894</v>
      </c>
      <c r="G57" s="47">
        <f t="shared" si="4"/>
        <v>1098411791284.0232</v>
      </c>
    </row>
    <row r="58" spans="1:8" ht="55" customHeight="1" x14ac:dyDescent="0.35">
      <c r="A58" s="9" t="s">
        <v>39</v>
      </c>
      <c r="B58" s="53">
        <v>404761958243.46997</v>
      </c>
      <c r="C58" s="7">
        <v>238.29</v>
      </c>
      <c r="D58" s="7">
        <f>B64</f>
        <v>612994161667.08887</v>
      </c>
      <c r="E58" s="28">
        <f>B71-8750000000-5000000000</f>
        <v>628798726272.401</v>
      </c>
      <c r="F58" s="28">
        <f>E71-14038113361.38-5000050000</f>
        <v>639131397273.69861</v>
      </c>
      <c r="G58" s="50">
        <f t="shared" si="4"/>
        <v>1880924285213.1885</v>
      </c>
      <c r="H58" s="15">
        <v>32447067703</v>
      </c>
    </row>
    <row r="59" spans="1:8" ht="55.5" customHeight="1" x14ac:dyDescent="0.35">
      <c r="A59" s="9" t="s">
        <v>40</v>
      </c>
      <c r="B59" s="53">
        <v>21303260960.189999</v>
      </c>
      <c r="C59" s="7"/>
      <c r="D59" s="7">
        <f>B63</f>
        <v>32262850614.057304</v>
      </c>
      <c r="E59" s="7">
        <f>B70</f>
        <v>33818354014.336895</v>
      </c>
      <c r="F59" s="10">
        <f>E70</f>
        <v>34640503191.319923</v>
      </c>
      <c r="G59" s="50">
        <f t="shared" si="4"/>
        <v>100721707819.71411</v>
      </c>
      <c r="H59" s="15">
        <v>32262850614.060001</v>
      </c>
    </row>
    <row r="60" spans="1:8" ht="42.5" x14ac:dyDescent="0.35">
      <c r="A60" s="48" t="s">
        <v>41</v>
      </c>
      <c r="B60" s="56">
        <f>SUM(B57,B58,B59)</f>
        <v>689440348916.2959</v>
      </c>
      <c r="C60" s="8">
        <f t="shared" ref="C60:F60" si="6">SUM(C57,C58,C59)</f>
        <v>329.20600000000002</v>
      </c>
      <c r="D60" s="8">
        <f t="shared" si="6"/>
        <v>998371313943.04016</v>
      </c>
      <c r="E60" s="8">
        <f t="shared" si="6"/>
        <v>1030882767520.1382</v>
      </c>
      <c r="F60" s="8">
        <f t="shared" si="6"/>
        <v>1050803702853.7474</v>
      </c>
      <c r="G60" s="8">
        <f>SUM(D60:F60)</f>
        <v>3080057784316.9258</v>
      </c>
      <c r="H60" s="15">
        <f>H58-H59</f>
        <v>184217088.93999863</v>
      </c>
    </row>
    <row r="62" spans="1:8" x14ac:dyDescent="0.35">
      <c r="B62" s="60">
        <v>2026</v>
      </c>
    </row>
    <row r="63" spans="1:8" x14ac:dyDescent="0.35">
      <c r="B63" s="61">
        <f>B66*5/100</f>
        <v>32262850614.057304</v>
      </c>
    </row>
    <row r="64" spans="1:8" x14ac:dyDescent="0.35">
      <c r="B64" s="61">
        <f>B66-B63</f>
        <v>612994161667.08887</v>
      </c>
      <c r="C64" s="15"/>
      <c r="E64" s="10"/>
      <c r="F64" s="10"/>
      <c r="G64" s="10"/>
    </row>
    <row r="65" spans="2:6" x14ac:dyDescent="0.35">
      <c r="B65" s="62"/>
      <c r="C65" s="15"/>
      <c r="D65" s="8">
        <f>D45-D60</f>
        <v>0</v>
      </c>
      <c r="E65" s="8">
        <f t="shared" ref="E65:F65" si="7">E45-E60</f>
        <v>9681971382.5356445</v>
      </c>
      <c r="F65" s="8">
        <f t="shared" si="7"/>
        <v>15057933802.250244</v>
      </c>
    </row>
    <row r="66" spans="2:6" x14ac:dyDescent="0.35">
      <c r="B66" s="61">
        <f>D45*65/100-3684341781.83</f>
        <v>645257012281.14612</v>
      </c>
      <c r="C66" s="15"/>
      <c r="D66" s="10"/>
    </row>
    <row r="67" spans="2:6" x14ac:dyDescent="0.35">
      <c r="B67" s="61"/>
      <c r="C67" s="51"/>
      <c r="F67" s="10"/>
    </row>
    <row r="68" spans="2:6" x14ac:dyDescent="0.35">
      <c r="B68" s="63"/>
      <c r="C68" s="10"/>
    </row>
    <row r="69" spans="2:6" x14ac:dyDescent="0.35">
      <c r="B69" s="64">
        <v>2027</v>
      </c>
      <c r="E69">
        <v>2028</v>
      </c>
    </row>
    <row r="70" spans="2:6" x14ac:dyDescent="0.35">
      <c r="B70" s="61">
        <f>B73*5/100</f>
        <v>33818354014.336895</v>
      </c>
      <c r="C70" s="10"/>
      <c r="D70" t="s">
        <v>78</v>
      </c>
      <c r="E70" s="10">
        <f>E73*5/100</f>
        <v>34640503191.319923</v>
      </c>
    </row>
    <row r="71" spans="2:6" x14ac:dyDescent="0.35">
      <c r="B71" s="61">
        <f>B73-B70</f>
        <v>642548726272.401</v>
      </c>
      <c r="D71" t="s">
        <v>79</v>
      </c>
      <c r="E71" s="15">
        <f>E73-E70</f>
        <v>658169560635.07861</v>
      </c>
    </row>
    <row r="72" spans="2:6" x14ac:dyDescent="0.35">
      <c r="E72" s="15"/>
    </row>
    <row r="73" spans="2:6" x14ac:dyDescent="0.35">
      <c r="B73" s="61">
        <f>E45*65/100</f>
        <v>676367080286.73792</v>
      </c>
      <c r="D73" t="s">
        <v>81</v>
      </c>
      <c r="E73" s="10">
        <f>F45*65/100</f>
        <v>692810063826.39856</v>
      </c>
    </row>
    <row r="74" spans="2:6" x14ac:dyDescent="0.35">
      <c r="B74" s="61"/>
    </row>
  </sheetData>
  <mergeCells count="2">
    <mergeCell ref="A1:G1"/>
    <mergeCell ref="A46:G46"/>
  </mergeCells>
  <conditionalFormatting sqref="B5:B8">
    <cfRule type="expression" dxfId="15" priority="9">
      <formula>$N5=9</formula>
    </cfRule>
    <cfRule type="expression" dxfId="14" priority="10">
      <formula>$N5=7</formula>
    </cfRule>
    <cfRule type="expression" dxfId="13" priority="11">
      <formula>$N5=6</formula>
    </cfRule>
    <cfRule type="expression" dxfId="12" priority="12">
      <formula>$N5=5</formula>
    </cfRule>
    <cfRule type="expression" dxfId="11" priority="13">
      <formula>$N5=4</formula>
    </cfRule>
    <cfRule type="expression" dxfId="10" priority="14">
      <formula>$N5=3</formula>
    </cfRule>
    <cfRule type="expression" dxfId="9" priority="15">
      <formula>$N5=2</formula>
    </cfRule>
    <cfRule type="expression" dxfId="8" priority="16">
      <formula>$N5=1</formula>
    </cfRule>
  </conditionalFormatting>
  <conditionalFormatting sqref="B10">
    <cfRule type="expression" dxfId="7" priority="1">
      <formula>$N10=9</formula>
    </cfRule>
    <cfRule type="expression" dxfId="6" priority="2">
      <formula>$N10=7</formula>
    </cfRule>
    <cfRule type="expression" dxfId="5" priority="3">
      <formula>$N10=6</formula>
    </cfRule>
    <cfRule type="expression" dxfId="4" priority="4">
      <formula>$N10=5</formula>
    </cfRule>
    <cfRule type="expression" dxfId="3" priority="5">
      <formula>$N10=4</formula>
    </cfRule>
    <cfRule type="expression" dxfId="2" priority="6">
      <formula>$N10=3</formula>
    </cfRule>
    <cfRule type="expression" dxfId="1" priority="7">
      <formula>$N10=2</formula>
    </cfRule>
    <cfRule type="expression" dxfId="0" priority="8">
      <formula>$N10=1</formula>
    </cfRule>
  </conditionalFormatting>
  <pageMargins left="0.70866141732283472" right="0.70866141732283472" top="0.15748031496062992" bottom="0.15748031496062992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45F5-A638-408F-BCFC-B296287551F0}">
  <dimension ref="A1:H53"/>
  <sheetViews>
    <sheetView workbookViewId="0">
      <selection activeCell="D10" sqref="D10"/>
    </sheetView>
  </sheetViews>
  <sheetFormatPr defaultRowHeight="15.5" x14ac:dyDescent="0.35"/>
  <cols>
    <col min="1" max="1" width="6.08984375" customWidth="1"/>
    <col min="2" max="2" width="36.26953125" customWidth="1"/>
    <col min="3" max="3" width="23" customWidth="1"/>
    <col min="4" max="4" width="25" style="16" customWidth="1"/>
    <col min="5" max="5" width="24.26953125" customWidth="1"/>
    <col min="6" max="6" width="10.90625" customWidth="1"/>
    <col min="7" max="7" width="25.08984375" customWidth="1"/>
    <col min="8" max="8" width="14.6328125" customWidth="1"/>
  </cols>
  <sheetData>
    <row r="1" spans="1:8" ht="30" x14ac:dyDescent="0.45">
      <c r="A1" s="17" t="s">
        <v>54</v>
      </c>
      <c r="B1" s="11" t="s">
        <v>55</v>
      </c>
      <c r="C1" s="18" t="s">
        <v>65</v>
      </c>
      <c r="D1" s="19" t="s">
        <v>66</v>
      </c>
      <c r="E1" s="20" t="s">
        <v>67</v>
      </c>
      <c r="F1" s="20" t="s">
        <v>68</v>
      </c>
      <c r="G1" s="20" t="s">
        <v>69</v>
      </c>
      <c r="H1" s="20" t="s">
        <v>70</v>
      </c>
    </row>
    <row r="2" spans="1:8" ht="18.5" x14ac:dyDescent="0.45">
      <c r="A2" s="17" t="s">
        <v>56</v>
      </c>
      <c r="B2" s="12" t="s">
        <v>57</v>
      </c>
      <c r="C2" s="22"/>
      <c r="D2" s="23"/>
      <c r="E2" s="21"/>
      <c r="F2" s="21"/>
      <c r="G2" s="21"/>
      <c r="H2" s="21"/>
    </row>
    <row r="3" spans="1:8" ht="18.5" x14ac:dyDescent="0.45">
      <c r="A3" s="24">
        <v>1</v>
      </c>
      <c r="B3" s="13" t="s">
        <v>4</v>
      </c>
      <c r="C3" s="22">
        <v>25148004271.169998</v>
      </c>
      <c r="D3" s="25">
        <f>C3*2</f>
        <v>50296008542.339996</v>
      </c>
      <c r="E3" s="30">
        <v>17000000000</v>
      </c>
      <c r="F3" s="21">
        <v>195</v>
      </c>
      <c r="G3" s="29">
        <f>E3*0.4+E3</f>
        <v>23800000000</v>
      </c>
      <c r="H3" s="21"/>
    </row>
    <row r="4" spans="1:8" ht="18.5" x14ac:dyDescent="0.45">
      <c r="A4" s="24">
        <v>2</v>
      </c>
      <c r="B4" s="13" t="s">
        <v>58</v>
      </c>
      <c r="C4" s="22">
        <v>146319020421.60999</v>
      </c>
      <c r="D4" s="25">
        <f t="shared" ref="D4:D24" si="0">C4*2</f>
        <v>292638040843.21997</v>
      </c>
      <c r="E4" s="30">
        <v>147804511503.72</v>
      </c>
      <c r="F4" s="21">
        <v>110</v>
      </c>
      <c r="G4" s="29">
        <f>E4*0.4+E4</f>
        <v>206926316105.20801</v>
      </c>
      <c r="H4" s="21"/>
    </row>
    <row r="5" spans="1:8" ht="18.5" x14ac:dyDescent="0.45">
      <c r="A5" s="24">
        <v>3</v>
      </c>
      <c r="B5" s="13" t="s">
        <v>5</v>
      </c>
      <c r="C5" s="22">
        <v>42191146062.080002</v>
      </c>
      <c r="D5" s="25">
        <f t="shared" si="0"/>
        <v>84382292124.160004</v>
      </c>
      <c r="E5" s="30">
        <v>57000000000</v>
      </c>
      <c r="F5" s="21">
        <v>48</v>
      </c>
      <c r="G5" s="29">
        <f t="shared" ref="G5" si="1">E5*0.4+E5</f>
        <v>79800000000</v>
      </c>
      <c r="H5" s="21"/>
    </row>
    <row r="6" spans="1:8" ht="18.5" x14ac:dyDescent="0.45">
      <c r="A6" s="24">
        <v>4</v>
      </c>
      <c r="B6" s="13" t="s">
        <v>13</v>
      </c>
      <c r="C6" s="22">
        <v>0</v>
      </c>
      <c r="D6" s="25">
        <f t="shared" si="0"/>
        <v>0</v>
      </c>
      <c r="E6" s="30"/>
      <c r="F6" s="21"/>
      <c r="G6" s="21"/>
      <c r="H6" s="21"/>
    </row>
    <row r="7" spans="1:8" ht="40" customHeight="1" x14ac:dyDescent="0.45">
      <c r="A7" s="24">
        <v>5</v>
      </c>
      <c r="B7" s="13" t="s">
        <v>8</v>
      </c>
      <c r="C7" s="22">
        <v>16886047432.619999</v>
      </c>
      <c r="D7" s="25">
        <f t="shared" si="0"/>
        <v>33772094865.239998</v>
      </c>
      <c r="E7" s="30">
        <v>104205860468.91</v>
      </c>
      <c r="F7" s="21">
        <v>-67.5</v>
      </c>
      <c r="G7" s="30">
        <v>104205860468.91</v>
      </c>
      <c r="H7" s="27" t="s">
        <v>71</v>
      </c>
    </row>
    <row r="8" spans="1:8" ht="18.5" x14ac:dyDescent="0.45">
      <c r="A8" s="24">
        <v>6</v>
      </c>
      <c r="B8" s="13" t="s">
        <v>9</v>
      </c>
      <c r="C8" s="22">
        <v>441684012.12</v>
      </c>
      <c r="D8" s="25">
        <f t="shared" si="0"/>
        <v>883368024.24000001</v>
      </c>
      <c r="E8" s="26"/>
      <c r="F8" s="21"/>
      <c r="G8" s="21"/>
      <c r="H8" s="21"/>
    </row>
    <row r="9" spans="1:8" ht="59" x14ac:dyDescent="0.45">
      <c r="A9" s="24">
        <v>7</v>
      </c>
      <c r="B9" s="13" t="s">
        <v>46</v>
      </c>
      <c r="C9" s="22">
        <v>8085348334</v>
      </c>
      <c r="D9" s="25">
        <f t="shared" si="0"/>
        <v>16170696668</v>
      </c>
      <c r="E9" s="26"/>
      <c r="F9" s="21"/>
      <c r="G9" s="30">
        <v>16170696668</v>
      </c>
      <c r="H9" s="27" t="s">
        <v>72</v>
      </c>
    </row>
    <row r="10" spans="1:8" ht="18.5" x14ac:dyDescent="0.45">
      <c r="A10" s="24">
        <v>8</v>
      </c>
      <c r="B10" s="13" t="s">
        <v>59</v>
      </c>
      <c r="C10" s="22">
        <v>1646967171.5</v>
      </c>
      <c r="D10" s="25">
        <f t="shared" si="0"/>
        <v>3293934343</v>
      </c>
      <c r="E10" s="26">
        <v>1900000000</v>
      </c>
      <c r="F10" s="21">
        <v>73.400000000000006</v>
      </c>
      <c r="G10" s="29">
        <f>E10*0.4+E10</f>
        <v>2660000000</v>
      </c>
      <c r="H10" s="21"/>
    </row>
    <row r="11" spans="1:8" ht="18.5" x14ac:dyDescent="0.45">
      <c r="A11" s="24">
        <v>9</v>
      </c>
      <c r="B11" s="13" t="s">
        <v>60</v>
      </c>
      <c r="C11" s="22">
        <v>159872856.22</v>
      </c>
      <c r="D11" s="25">
        <f t="shared" si="0"/>
        <v>319745712.44</v>
      </c>
      <c r="E11" s="26"/>
      <c r="F11" s="21"/>
      <c r="G11" s="21"/>
      <c r="H11" s="21"/>
    </row>
    <row r="12" spans="1:8" ht="59" x14ac:dyDescent="0.45">
      <c r="A12" s="24">
        <v>10</v>
      </c>
      <c r="B12" s="13" t="s">
        <v>47</v>
      </c>
      <c r="C12" s="22">
        <v>15580103359.169998</v>
      </c>
      <c r="D12" s="25">
        <f t="shared" si="0"/>
        <v>31160206718.339996</v>
      </c>
      <c r="E12" s="26"/>
      <c r="F12" s="21"/>
      <c r="G12" s="30">
        <v>31160206718.339996</v>
      </c>
      <c r="H12" s="27" t="s">
        <v>72</v>
      </c>
    </row>
    <row r="13" spans="1:8" ht="40.5" customHeight="1" x14ac:dyDescent="0.45">
      <c r="A13" s="24">
        <v>11</v>
      </c>
      <c r="B13" s="14" t="s">
        <v>48</v>
      </c>
      <c r="C13" s="22">
        <v>31220095011.790001</v>
      </c>
      <c r="D13" s="25">
        <f t="shared" si="0"/>
        <v>62440190023.580002</v>
      </c>
      <c r="E13" s="26"/>
      <c r="F13" s="21"/>
      <c r="G13" s="30">
        <v>62440190023.580002</v>
      </c>
      <c r="H13" s="27" t="s">
        <v>72</v>
      </c>
    </row>
    <row r="14" spans="1:8" ht="18.5" x14ac:dyDescent="0.45">
      <c r="A14" s="24">
        <v>12</v>
      </c>
      <c r="B14" s="13" t="s">
        <v>61</v>
      </c>
      <c r="C14" s="22">
        <v>19531397809.619999</v>
      </c>
      <c r="D14" s="25">
        <f t="shared" si="0"/>
        <v>39062795619.239998</v>
      </c>
      <c r="E14" s="30">
        <v>39062795619.25</v>
      </c>
      <c r="F14" s="21">
        <v>0</v>
      </c>
      <c r="G14" s="33">
        <v>39062795619.25</v>
      </c>
      <c r="H14" s="21"/>
    </row>
    <row r="15" spans="1:8" ht="59" x14ac:dyDescent="0.45">
      <c r="A15" s="24">
        <v>13</v>
      </c>
      <c r="B15" s="13" t="s">
        <v>49</v>
      </c>
      <c r="C15" s="22">
        <v>24756756756.770004</v>
      </c>
      <c r="D15" s="25">
        <f t="shared" si="0"/>
        <v>49513513513.540009</v>
      </c>
      <c r="E15" s="26"/>
      <c r="F15" s="21"/>
      <c r="G15" s="30">
        <v>49513513513.540009</v>
      </c>
      <c r="H15" s="27" t="s">
        <v>72</v>
      </c>
    </row>
    <row r="16" spans="1:8" ht="18.5" x14ac:dyDescent="0.45">
      <c r="A16" s="24">
        <v>14</v>
      </c>
      <c r="B16" s="13" t="s">
        <v>16</v>
      </c>
      <c r="C16" s="22">
        <v>0</v>
      </c>
      <c r="D16" s="25">
        <f t="shared" si="0"/>
        <v>0</v>
      </c>
      <c r="E16" s="26"/>
      <c r="F16" s="21"/>
      <c r="G16" s="21"/>
      <c r="H16" s="21"/>
    </row>
    <row r="17" spans="1:8" ht="18.5" x14ac:dyDescent="0.45">
      <c r="A17" s="24">
        <v>15</v>
      </c>
      <c r="B17" s="13" t="s">
        <v>62</v>
      </c>
      <c r="C17" s="22">
        <v>55580565711.900002</v>
      </c>
      <c r="D17" s="25">
        <f t="shared" si="0"/>
        <v>111161131423.8</v>
      </c>
      <c r="E17" s="26">
        <v>66000000000</v>
      </c>
      <c r="F17" s="21">
        <v>68.400000000000006</v>
      </c>
      <c r="G17" s="29">
        <f>E17*0.4+E17</f>
        <v>92400000000</v>
      </c>
      <c r="H17" s="21"/>
    </row>
    <row r="18" spans="1:8" ht="18.5" x14ac:dyDescent="0.45">
      <c r="A18" s="24">
        <v>16</v>
      </c>
      <c r="B18" s="13" t="s">
        <v>14</v>
      </c>
      <c r="C18" s="22">
        <v>0</v>
      </c>
      <c r="D18" s="25">
        <f t="shared" si="0"/>
        <v>0</v>
      </c>
      <c r="E18" s="26"/>
      <c r="F18" s="21"/>
      <c r="G18" s="21"/>
      <c r="H18" s="21"/>
    </row>
    <row r="19" spans="1:8" ht="36" x14ac:dyDescent="0.45">
      <c r="A19" s="24">
        <v>17</v>
      </c>
      <c r="B19" s="14" t="s">
        <v>63</v>
      </c>
      <c r="C19" s="22">
        <v>13212929481.139999</v>
      </c>
      <c r="D19" s="25">
        <f t="shared" si="0"/>
        <v>26425858962.279999</v>
      </c>
      <c r="E19" s="26">
        <v>14000000000</v>
      </c>
      <c r="F19" s="21">
        <v>88.76</v>
      </c>
      <c r="G19" s="29">
        <f>E19*0.4+E19</f>
        <v>19600000000</v>
      </c>
      <c r="H19" s="21"/>
    </row>
    <row r="20" spans="1:8" ht="18.5" x14ac:dyDescent="0.45">
      <c r="A20" s="24">
        <v>18</v>
      </c>
      <c r="B20" s="14" t="s">
        <v>53</v>
      </c>
      <c r="C20" s="22">
        <v>0</v>
      </c>
      <c r="D20" s="25">
        <f t="shared" si="0"/>
        <v>0</v>
      </c>
      <c r="E20" s="26"/>
      <c r="F20" s="21"/>
      <c r="G20" s="21"/>
      <c r="H20" s="21"/>
    </row>
    <row r="21" spans="1:8" ht="59" x14ac:dyDescent="0.45">
      <c r="A21" s="24">
        <v>19</v>
      </c>
      <c r="B21" s="14" t="s">
        <v>64</v>
      </c>
      <c r="C21" s="22">
        <v>31635238786.949997</v>
      </c>
      <c r="D21" s="25">
        <f t="shared" si="0"/>
        <v>63270477573.899994</v>
      </c>
      <c r="E21" s="26">
        <v>100000000000</v>
      </c>
      <c r="F21" s="21">
        <v>-36.700000000000003</v>
      </c>
      <c r="G21" s="30">
        <v>140000000000</v>
      </c>
      <c r="H21" s="27" t="s">
        <v>71</v>
      </c>
    </row>
    <row r="22" spans="1:8" ht="18.5" x14ac:dyDescent="0.45">
      <c r="A22" s="24">
        <v>20</v>
      </c>
      <c r="B22" s="14" t="s">
        <v>50</v>
      </c>
      <c r="C22" s="22"/>
      <c r="D22" s="25">
        <f t="shared" si="0"/>
        <v>0</v>
      </c>
      <c r="E22" s="21"/>
      <c r="F22" s="21"/>
      <c r="G22" s="26"/>
      <c r="H22" s="21"/>
    </row>
    <row r="23" spans="1:8" ht="18.5" x14ac:dyDescent="0.45">
      <c r="A23" s="24">
        <v>21</v>
      </c>
      <c r="B23" s="14" t="s">
        <v>51</v>
      </c>
      <c r="C23" s="22"/>
      <c r="D23" s="25">
        <f t="shared" si="0"/>
        <v>0</v>
      </c>
      <c r="E23" s="21"/>
      <c r="F23" s="21"/>
      <c r="G23" s="26"/>
      <c r="H23" s="21"/>
    </row>
    <row r="24" spans="1:8" ht="59" x14ac:dyDescent="0.45">
      <c r="A24" s="24">
        <v>22</v>
      </c>
      <c r="B24" s="14" t="s">
        <v>52</v>
      </c>
      <c r="C24" s="22">
        <v>72651686811.360001</v>
      </c>
      <c r="D24" s="25">
        <f t="shared" si="0"/>
        <v>145303373622.72</v>
      </c>
      <c r="E24" s="21"/>
      <c r="F24" s="21"/>
      <c r="G24" s="30">
        <v>145303373622.72</v>
      </c>
      <c r="H24" s="27" t="s">
        <v>72</v>
      </c>
    </row>
    <row r="25" spans="1:8" ht="18.5" x14ac:dyDescent="0.45">
      <c r="A25" s="35"/>
      <c r="B25" s="36" t="s">
        <v>17</v>
      </c>
      <c r="C25" s="40">
        <f>SUM(C3:C24)</f>
        <v>505046864290.02002</v>
      </c>
      <c r="D25" s="22">
        <f>SUM(D3:D24)</f>
        <v>1010093728580.04</v>
      </c>
      <c r="E25" s="22">
        <f t="shared" ref="E25:G25" si="2">SUM(E3:E24)</f>
        <v>546973167591.88</v>
      </c>
      <c r="F25" s="22"/>
      <c r="G25" s="22">
        <f t="shared" si="2"/>
        <v>1013042952739.5481</v>
      </c>
      <c r="H25" s="21"/>
    </row>
    <row r="26" spans="1:8" ht="18.5" x14ac:dyDescent="0.45">
      <c r="A26" s="35">
        <v>23</v>
      </c>
      <c r="B26" s="37" t="s">
        <v>19</v>
      </c>
      <c r="C26" s="4">
        <v>31014410173.380005</v>
      </c>
      <c r="D26" s="34">
        <f>C26*2</f>
        <v>62028820346.76001</v>
      </c>
      <c r="E26" s="4">
        <v>39000000000</v>
      </c>
      <c r="F26" s="22">
        <v>59.05</v>
      </c>
      <c r="G26" s="22"/>
      <c r="H26" s="21"/>
    </row>
    <row r="27" spans="1:8" ht="18.5" x14ac:dyDescent="0.45">
      <c r="A27" s="35"/>
      <c r="B27" s="38" t="s">
        <v>20</v>
      </c>
      <c r="C27" s="22"/>
      <c r="D27" s="22"/>
      <c r="E27" s="22"/>
      <c r="F27" s="22"/>
      <c r="G27" s="22"/>
      <c r="H27" s="21"/>
    </row>
    <row r="28" spans="1:8" ht="18.5" x14ac:dyDescent="0.45">
      <c r="A28" s="35"/>
      <c r="B28" s="38" t="s">
        <v>73</v>
      </c>
      <c r="C28" s="22"/>
      <c r="D28" s="22"/>
      <c r="E28" s="22"/>
      <c r="F28" s="22"/>
      <c r="G28" s="22"/>
      <c r="H28" s="21"/>
    </row>
    <row r="29" spans="1:8" ht="18.5" x14ac:dyDescent="0.45">
      <c r="A29" s="35">
        <v>24</v>
      </c>
      <c r="B29" s="37" t="s">
        <v>21</v>
      </c>
      <c r="C29" s="22">
        <v>0</v>
      </c>
      <c r="D29" s="22">
        <v>0</v>
      </c>
      <c r="E29" s="22">
        <v>23000000000</v>
      </c>
      <c r="F29" s="22"/>
      <c r="G29" s="22">
        <v>23000000000</v>
      </c>
      <c r="H29" s="21"/>
    </row>
    <row r="30" spans="1:8" ht="18.5" x14ac:dyDescent="0.45">
      <c r="A30" s="35">
        <v>25</v>
      </c>
      <c r="B30" s="37" t="s">
        <v>22</v>
      </c>
      <c r="C30" s="22">
        <v>0</v>
      </c>
      <c r="D30" s="22">
        <v>0</v>
      </c>
      <c r="E30" s="22">
        <v>2000000000</v>
      </c>
      <c r="F30" s="22"/>
      <c r="G30" s="22">
        <v>2000000000</v>
      </c>
      <c r="H30" s="21"/>
    </row>
    <row r="31" spans="1:8" ht="53.5" x14ac:dyDescent="0.45">
      <c r="A31" s="35">
        <v>26</v>
      </c>
      <c r="B31" s="37" t="s">
        <v>23</v>
      </c>
      <c r="C31" s="22">
        <v>0</v>
      </c>
      <c r="D31" s="22">
        <v>0</v>
      </c>
      <c r="E31" s="22">
        <v>4000000000</v>
      </c>
      <c r="F31" s="22"/>
      <c r="G31" s="22">
        <v>4000000000</v>
      </c>
      <c r="H31" s="21"/>
    </row>
    <row r="32" spans="1:8" ht="18.5" x14ac:dyDescent="0.45">
      <c r="A32" s="35">
        <v>27</v>
      </c>
      <c r="B32" s="37" t="s">
        <v>24</v>
      </c>
      <c r="C32" s="22">
        <v>0</v>
      </c>
      <c r="D32" s="22">
        <v>0</v>
      </c>
      <c r="E32" s="22">
        <v>2000000000</v>
      </c>
      <c r="F32" s="22"/>
      <c r="G32" s="22">
        <v>2000000000</v>
      </c>
      <c r="H32" s="21"/>
    </row>
    <row r="33" spans="1:8" ht="18.5" x14ac:dyDescent="0.45">
      <c r="A33" s="35">
        <v>28</v>
      </c>
      <c r="B33" s="39" t="s">
        <v>26</v>
      </c>
      <c r="C33" s="22">
        <v>0</v>
      </c>
      <c r="D33" s="22">
        <v>0</v>
      </c>
      <c r="E33" s="22">
        <v>4800000000</v>
      </c>
      <c r="F33" s="22"/>
      <c r="G33" s="22">
        <v>4800000000</v>
      </c>
      <c r="H33" s="21"/>
    </row>
    <row r="34" spans="1:8" ht="18.5" x14ac:dyDescent="0.45">
      <c r="A34" s="35"/>
      <c r="B34" s="38" t="s">
        <v>75</v>
      </c>
      <c r="C34" s="22"/>
      <c r="D34" s="22"/>
      <c r="E34" s="22"/>
      <c r="F34" s="22"/>
      <c r="G34" s="22"/>
      <c r="H34" s="21"/>
    </row>
    <row r="35" spans="1:8" ht="18.5" x14ac:dyDescent="0.45">
      <c r="A35" s="35">
        <v>29</v>
      </c>
      <c r="B35" s="37" t="s">
        <v>74</v>
      </c>
      <c r="C35" s="22">
        <v>0</v>
      </c>
      <c r="D35" s="22">
        <v>0</v>
      </c>
      <c r="E35" s="22">
        <v>3600000000</v>
      </c>
      <c r="F35" s="22"/>
      <c r="G35" s="22">
        <v>3600000000</v>
      </c>
      <c r="H35" s="21"/>
    </row>
    <row r="36" spans="1:8" ht="18.5" x14ac:dyDescent="0.45">
      <c r="A36" s="35">
        <v>30</v>
      </c>
      <c r="B36" s="37" t="s">
        <v>25</v>
      </c>
      <c r="C36" s="22">
        <v>0</v>
      </c>
      <c r="D36" s="22">
        <v>0</v>
      </c>
      <c r="E36" s="22">
        <v>50000000000</v>
      </c>
      <c r="F36" s="22"/>
      <c r="G36" s="22">
        <v>30000000000</v>
      </c>
      <c r="H36" s="21"/>
    </row>
    <row r="37" spans="1:8" ht="36.5" x14ac:dyDescent="0.45">
      <c r="A37" s="35"/>
      <c r="B37" s="38" t="s">
        <v>27</v>
      </c>
      <c r="C37" s="18">
        <f>C26+C29+C30+C31+C32+C33+C35+C36</f>
        <v>31014410173.380005</v>
      </c>
      <c r="D37" s="18">
        <f t="shared" ref="D37:G37" si="3">D26+D29+D30+D31+D32+D33+D35+D36</f>
        <v>62028820346.76001</v>
      </c>
      <c r="E37" s="18">
        <f t="shared" si="3"/>
        <v>128400000000</v>
      </c>
      <c r="F37" s="18"/>
      <c r="G37" s="18">
        <f t="shared" si="3"/>
        <v>69400000000</v>
      </c>
      <c r="H37" s="21"/>
    </row>
    <row r="38" spans="1:8" ht="18.5" x14ac:dyDescent="0.45">
      <c r="A38" s="35"/>
      <c r="B38" s="38" t="s">
        <v>28</v>
      </c>
      <c r="C38" s="18">
        <f>SUM(C25,C37)</f>
        <v>536061274463.40002</v>
      </c>
      <c r="D38" s="18">
        <f t="shared" ref="D38:G38" si="4">SUM(D25,D37)</f>
        <v>1072122548926.8</v>
      </c>
      <c r="E38" s="18">
        <f>SUM(E25,E37)</f>
        <v>675373167591.88</v>
      </c>
      <c r="F38" s="18">
        <f t="shared" si="4"/>
        <v>0</v>
      </c>
      <c r="G38" s="18">
        <f t="shared" si="4"/>
        <v>1082442952739.5481</v>
      </c>
      <c r="H38" s="22">
        <f>SUM(H25,H37)</f>
        <v>0</v>
      </c>
    </row>
    <row r="39" spans="1:8" ht="18.5" x14ac:dyDescent="0.45">
      <c r="B39" s="31"/>
      <c r="C39" s="32"/>
      <c r="D39" s="32"/>
      <c r="E39" s="32"/>
      <c r="F39" s="32"/>
      <c r="G39" s="32"/>
    </row>
    <row r="40" spans="1:8" ht="18.5" x14ac:dyDescent="0.45">
      <c r="B40" s="31"/>
      <c r="C40" s="32"/>
      <c r="D40" s="32"/>
      <c r="E40" s="32"/>
      <c r="F40" s="32"/>
      <c r="G40" s="32"/>
    </row>
    <row r="41" spans="1:8" ht="18.5" x14ac:dyDescent="0.45">
      <c r="B41" s="31"/>
      <c r="C41" s="32"/>
      <c r="D41" s="32"/>
      <c r="E41" s="32"/>
      <c r="F41" s="32"/>
      <c r="G41" s="32"/>
    </row>
    <row r="42" spans="1:8" ht="18.5" x14ac:dyDescent="0.45">
      <c r="B42" s="31"/>
      <c r="C42" s="32"/>
      <c r="D42" s="32"/>
      <c r="E42" s="32"/>
      <c r="F42" s="32"/>
      <c r="G42" s="32"/>
    </row>
    <row r="43" spans="1:8" ht="18.5" x14ac:dyDescent="0.45">
      <c r="B43" s="31"/>
      <c r="C43" s="32"/>
      <c r="D43" s="32"/>
      <c r="E43" s="32"/>
      <c r="F43" s="32"/>
      <c r="G43" s="32"/>
    </row>
    <row r="44" spans="1:8" ht="18.5" x14ac:dyDescent="0.45">
      <c r="B44" s="31"/>
      <c r="C44" s="32"/>
      <c r="D44" s="32"/>
      <c r="E44" s="32"/>
      <c r="F44" s="32"/>
      <c r="G44" s="32"/>
    </row>
    <row r="45" spans="1:8" ht="18.5" x14ac:dyDescent="0.45">
      <c r="B45" s="31"/>
      <c r="C45" s="32"/>
      <c r="D45" s="32"/>
      <c r="E45" s="32"/>
      <c r="F45" s="32"/>
      <c r="G45" s="32"/>
    </row>
    <row r="46" spans="1:8" x14ac:dyDescent="0.35">
      <c r="C46" s="10"/>
    </row>
    <row r="49" spans="7:7" x14ac:dyDescent="0.35">
      <c r="G49" s="15"/>
    </row>
    <row r="51" spans="7:7" x14ac:dyDescent="0.35">
      <c r="G51" s="10"/>
    </row>
    <row r="53" spans="7:7" x14ac:dyDescent="0.35">
      <c r="G5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MTEF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Don Jameso</cp:lastModifiedBy>
  <cp:lastPrinted>2025-11-14T10:34:35Z</cp:lastPrinted>
  <dcterms:created xsi:type="dcterms:W3CDTF">2024-10-31T04:49:11Z</dcterms:created>
  <dcterms:modified xsi:type="dcterms:W3CDTF">2025-11-14T10:35:14Z</dcterms:modified>
</cp:coreProperties>
</file>